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Direct" sheetId="1" r:id="rId1"/>
    <sheet name="Reverse" sheetId="2" r:id="rId2"/>
    <sheet name="Домашнее задание 1" sheetId="3" r:id="rId3"/>
    <sheet name="Домашнее задание 2" sheetId="4" r:id="rId4"/>
  </sheets>
  <definedNames/>
  <calcPr fullCalcOnLoad="1"/>
</workbook>
</file>

<file path=xl/comments1.xml><?xml version="1.0" encoding="utf-8"?>
<comments xmlns="http://schemas.openxmlformats.org/spreadsheetml/2006/main">
  <authors>
    <author>Pavel</author>
  </authors>
  <commentList>
    <comment ref="A6" authorId="0">
      <text>
        <r>
          <rPr>
            <b/>
            <sz val="8"/>
            <rFont val="Tahoma"/>
            <family val="0"/>
          </rPr>
          <t>Pavel:</t>
        </r>
        <r>
          <rPr>
            <sz val="8"/>
            <rFont val="Tahoma"/>
            <family val="0"/>
          </rPr>
          <t xml:space="preserve">
коэффициент для перевода из массовых процентов в ppm и обратно</t>
        </r>
      </text>
    </comment>
    <comment ref="A3" authorId="0">
      <text>
        <r>
          <rPr>
            <b/>
            <sz val="8"/>
            <rFont val="Tahoma"/>
            <family val="0"/>
          </rPr>
          <t>Pavel:
Все веса взяты по</t>
        </r>
        <r>
          <rPr>
            <sz val="8"/>
            <rFont val="Tahoma"/>
            <family val="0"/>
          </rPr>
          <t xml:space="preserve">
2007 год
Pure Appl. Chem., 2006 78, 2051-2066</t>
        </r>
      </text>
    </comment>
  </commentList>
</comments>
</file>

<file path=xl/comments2.xml><?xml version="1.0" encoding="utf-8"?>
<comments xmlns="http://schemas.openxmlformats.org/spreadsheetml/2006/main">
  <authors>
    <author>Pavel</author>
  </authors>
  <commentList>
    <comment ref="A3" authorId="0">
      <text>
        <r>
          <rPr>
            <b/>
            <sz val="8"/>
            <rFont val="Tahoma"/>
            <family val="0"/>
          </rPr>
          <t>Pavel:
Все веса взяты по</t>
        </r>
        <r>
          <rPr>
            <sz val="8"/>
            <rFont val="Tahoma"/>
            <family val="0"/>
          </rPr>
          <t xml:space="preserve">
2007 год
Pure Appl. Chem., 2006 78, 2051-2066</t>
        </r>
      </text>
    </comment>
    <comment ref="A6" authorId="0">
      <text>
        <r>
          <rPr>
            <b/>
            <sz val="8"/>
            <rFont val="Tahoma"/>
            <family val="0"/>
          </rPr>
          <t>Pavel:</t>
        </r>
        <r>
          <rPr>
            <sz val="8"/>
            <rFont val="Tahoma"/>
            <family val="0"/>
          </rPr>
          <t xml:space="preserve">
коэффициент для перевода из массовых процентов в ppm и обратно</t>
        </r>
      </text>
    </comment>
  </commentList>
</comments>
</file>

<file path=xl/comments3.xml><?xml version="1.0" encoding="utf-8"?>
<comments xmlns="http://schemas.openxmlformats.org/spreadsheetml/2006/main">
  <authors>
    <author>Pavel</author>
  </authors>
  <commentList>
    <comment ref="A4" authorId="0">
      <text>
        <r>
          <rPr>
            <b/>
            <sz val="8"/>
            <rFont val="Tahoma"/>
            <family val="0"/>
          </rPr>
          <t>Pavel:
Все веса взяты по</t>
        </r>
        <r>
          <rPr>
            <sz val="8"/>
            <rFont val="Tahoma"/>
            <family val="0"/>
          </rPr>
          <t xml:space="preserve">
2007 год
Pure Appl. Chem., 2006 78, 2051-2066</t>
        </r>
      </text>
    </comment>
    <comment ref="A7" authorId="0">
      <text>
        <r>
          <rPr>
            <b/>
            <sz val="8"/>
            <rFont val="Tahoma"/>
            <family val="0"/>
          </rPr>
          <t>Pavel:</t>
        </r>
        <r>
          <rPr>
            <sz val="8"/>
            <rFont val="Tahoma"/>
            <family val="0"/>
          </rPr>
          <t xml:space="preserve">
коэффициент для перевода из массовых процентов в ppm и обратно</t>
        </r>
      </text>
    </comment>
  </commentList>
</comments>
</file>

<file path=xl/comments4.xml><?xml version="1.0" encoding="utf-8"?>
<comments xmlns="http://schemas.openxmlformats.org/spreadsheetml/2006/main">
  <authors>
    <author>Pavel</author>
  </authors>
  <commentList>
    <comment ref="A4" authorId="0">
      <text>
        <r>
          <rPr>
            <b/>
            <sz val="8"/>
            <rFont val="Tahoma"/>
            <family val="0"/>
          </rPr>
          <t>Pavel:
Все веса взяты по</t>
        </r>
        <r>
          <rPr>
            <sz val="8"/>
            <rFont val="Tahoma"/>
            <family val="0"/>
          </rPr>
          <t xml:space="preserve">
2007 год
Pure Appl. Chem., 2006 78, 2051-2066</t>
        </r>
      </text>
    </comment>
    <comment ref="A7" authorId="0">
      <text>
        <r>
          <rPr>
            <b/>
            <sz val="8"/>
            <rFont val="Tahoma"/>
            <family val="0"/>
          </rPr>
          <t>Pavel:</t>
        </r>
        <r>
          <rPr>
            <sz val="8"/>
            <rFont val="Tahoma"/>
            <family val="0"/>
          </rPr>
          <t xml:space="preserve">
коэффициент для перевода из массовых процентов в ppm и обратно</t>
        </r>
      </text>
    </comment>
  </commentList>
</comments>
</file>

<file path=xl/sharedStrings.xml><?xml version="1.0" encoding="utf-8"?>
<sst xmlns="http://schemas.openxmlformats.org/spreadsheetml/2006/main" count="278" uniqueCount="91">
  <si>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</si>
  <si>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</si>
  <si>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</si>
  <si>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</si>
  <si>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</si>
  <si>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</si>
  <si>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</si>
  <si>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</si>
  <si>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</si>
  <si>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BaO</t>
  </si>
  <si>
    <t>Cr2O3</t>
  </si>
  <si>
    <t>NiO</t>
  </si>
  <si>
    <t>P2O5</t>
  </si>
  <si>
    <t>V2O3</t>
  </si>
  <si>
    <t>ZnO</t>
  </si>
  <si>
    <t>mol. Wt.</t>
  </si>
  <si>
    <t>coeff</t>
  </si>
  <si>
    <t>Расчет для альбита NaAlSi3O8</t>
  </si>
  <si>
    <t>Na</t>
  </si>
  <si>
    <t>Al</t>
  </si>
  <si>
    <t>Si</t>
  </si>
  <si>
    <t>O</t>
  </si>
  <si>
    <t>ф.е.</t>
  </si>
  <si>
    <t>Сумма</t>
  </si>
  <si>
    <t>at.%</t>
  </si>
  <si>
    <t>вес.% атомов</t>
  </si>
  <si>
    <t>Ti</t>
  </si>
  <si>
    <t>Fe</t>
  </si>
  <si>
    <t>Mn</t>
  </si>
  <si>
    <t>Mg</t>
  </si>
  <si>
    <t>Ca</t>
  </si>
  <si>
    <t>K</t>
  </si>
  <si>
    <t>Ba</t>
  </si>
  <si>
    <t>Cr</t>
  </si>
  <si>
    <t>Ni</t>
  </si>
  <si>
    <t>P</t>
  </si>
  <si>
    <t>V</t>
  </si>
  <si>
    <t>Zn</t>
  </si>
  <si>
    <t>mol.%</t>
  </si>
  <si>
    <t>вес.% оксидов</t>
  </si>
  <si>
    <t>Расчет для Ортоклаза KAlSi3O8</t>
  </si>
  <si>
    <t>Расчет для Анортита CaAl2Si2O8</t>
  </si>
  <si>
    <t>Расчет для лабрадора An50</t>
  </si>
  <si>
    <t>Молекулярн.вес</t>
  </si>
  <si>
    <t>Первый способ</t>
  </si>
  <si>
    <t>второй способ</t>
  </si>
  <si>
    <t>Расчет состава идеального габбро CPx(Di70)-48%, Pl(An50)-52% мас.</t>
  </si>
  <si>
    <t>wt%</t>
  </si>
  <si>
    <t>3. Состав породы, вес.%</t>
  </si>
  <si>
    <t>2. Состав плагиоклаза, вес.%</t>
  </si>
  <si>
    <t>1. Расчет состава клинопироксена, вес.%</t>
  </si>
  <si>
    <t>Cpx</t>
  </si>
  <si>
    <t>Pl</t>
  </si>
  <si>
    <t>Вулкан Авача, реальные составы минералов</t>
  </si>
  <si>
    <t>вес.%</t>
  </si>
  <si>
    <t>атомн. кол-ва</t>
  </si>
  <si>
    <t>Di - CaMgSi2O6</t>
  </si>
  <si>
    <t>Остаток</t>
  </si>
  <si>
    <t>Hed-CaFeSi2O6</t>
  </si>
  <si>
    <t>An - CaAl2Si2O8</t>
  </si>
  <si>
    <t>Ab - NaAlSi3O8</t>
  </si>
  <si>
    <t>№Pl</t>
  </si>
  <si>
    <t>Mg# CPx</t>
  </si>
  <si>
    <t>Задание: расчитать состав идеализированного габбро (посчитанный в Direct) на составы клинопироксена и плагиоклаза.</t>
  </si>
  <si>
    <t>Пример более сложного расчета реальной породы можно посмотреть в закладке reverse</t>
  </si>
  <si>
    <t>идеализированное габбро</t>
  </si>
  <si>
    <t>Примеры можно посмотреть в закладке Direct</t>
  </si>
  <si>
    <t>Ортоклаз - KAlSi3O8</t>
  </si>
  <si>
    <t>Фаялит Fe2SiO4</t>
  </si>
  <si>
    <t>Задание: Рассчитать химические составы минералов:</t>
  </si>
  <si>
    <t>Оливин Fo90 (90% форстеритовой составляющей)</t>
  </si>
  <si>
    <t>Роговая обманка (паргасит) NaCa2(Mg4Al)Si6Al2O22(OH)2</t>
  </si>
  <si>
    <t xml:space="preserve">Нефелин </t>
  </si>
  <si>
    <t>Na3KAl4Si4O16</t>
  </si>
  <si>
    <t>Реальный амфибол (Губенский массив Южного Урала)</t>
  </si>
  <si>
    <t xml:space="preserve">Кварц </t>
  </si>
  <si>
    <t>25-35</t>
  </si>
  <si>
    <t>Объемные %</t>
  </si>
  <si>
    <t>Плагиоклаз</t>
  </si>
  <si>
    <t>Рассчитать граничные содержания хим.элементов в плагиогранитах, исходя из модального состава, приведенного в Петрографическом Кодексе 2009 г</t>
  </si>
  <si>
    <t>20-40</t>
  </si>
  <si>
    <t>Биотит</t>
  </si>
  <si>
    <t>3-10</t>
  </si>
  <si>
    <t>An10-30</t>
  </si>
  <si>
    <t>Использовать идеализированные формулы минералов</t>
  </si>
  <si>
    <t>Состав минералов</t>
  </si>
  <si>
    <t>Щелочной п.ш.</t>
  </si>
  <si>
    <t>Or90Ab10</t>
  </si>
  <si>
    <t>,</t>
  </si>
  <si>
    <t>(K0.90Na0.03)(Fe2+1.38Mg1.01Mn0.03Al0.03Fe3+0.08Ti0.17)[Si3.01Al0.99O10](F0.96(OH)0.84.O0.10)</t>
  </si>
  <si>
    <t>Плотность (г/см3)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</si>
</sst>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0</xdr:rowOff>
    </xdr:from>
    <xdr:to>
      <xdr:col>6</xdr:col>
      <xdr:colOff>285750</xdr:colOff>
      <xdr:row>1</xdr:row>
      <xdr:rowOff>9525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409700" y="0"/>
          <a:ext cx="2924175" cy="171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Молекулярные веса оксидов главных элементов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0</xdr:rowOff>
    </xdr:from>
    <xdr:to>
      <xdr:col>6</xdr:col>
      <xdr:colOff>285750</xdr:colOff>
      <xdr:row>1</xdr:row>
      <xdr:rowOff>9525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019175" y="0"/>
          <a:ext cx="2924175" cy="171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Молекулярные веса оксидов главных элементов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</xdr:row>
      <xdr:rowOff>0</xdr:rowOff>
    </xdr:from>
    <xdr:to>
      <xdr:col>6</xdr:col>
      <xdr:colOff>285750</xdr:colOff>
      <xdr:row>2</xdr:row>
      <xdr:rowOff>9525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019175" y="161925"/>
          <a:ext cx="2924175" cy="171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Молекулярные веса оксидов главных элементов</a:t>
          </a:r>
        </a:p>
      </xdr:txBody>
    </xdr:sp>
    <xdr:clientData/>
  </xdr:twoCellAnchor>
  <xdr:twoCellAnchor editAs="oneCell">
    <xdr:from>
      <xdr:col>0</xdr:col>
      <xdr:colOff>0</xdr:colOff>
      <xdr:row>67</xdr:row>
      <xdr:rowOff>9525</xdr:rowOff>
    </xdr:from>
    <xdr:to>
      <xdr:col>16</xdr:col>
      <xdr:colOff>314325</xdr:colOff>
      <xdr:row>74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10067925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</xdr:row>
      <xdr:rowOff>0</xdr:rowOff>
    </xdr:from>
    <xdr:to>
      <xdr:col>6</xdr:col>
      <xdr:colOff>285750</xdr:colOff>
      <xdr:row>2</xdr:row>
      <xdr:rowOff>9525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123950" y="161925"/>
          <a:ext cx="3048000" cy="171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Молекулярные веса оксидов главных элементов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1"/>
  <sheetViews>
    <sheetView workbookViewId="0" topLeftCell="A8">
      <selection activeCell="I34" sqref="I34:O34"/>
    </sheetView>
  </sheetViews>
  <sheetFormatPr defaultColWidth="9.140625" defaultRowHeight="12.75"/>
  <cols>
    <col min="1" max="1" width="15.00390625" style="0" customWidth="1"/>
    <col min="8" max="8" width="13.00390625" style="0" customWidth="1"/>
  </cols>
  <sheetData>
    <row r="2" spans="1:16" ht="12.75">
      <c r="A2" t="s">
        <v>21</v>
      </c>
      <c r="B2" t="s">
        <v>20</v>
      </c>
      <c r="C2" t="s">
        <v>26</v>
      </c>
      <c r="D2" t="s">
        <v>19</v>
      </c>
      <c r="E2" t="s">
        <v>27</v>
      </c>
      <c r="F2" t="s">
        <v>28</v>
      </c>
      <c r="G2" t="s">
        <v>29</v>
      </c>
      <c r="H2" t="s">
        <v>30</v>
      </c>
      <c r="I2" t="s">
        <v>18</v>
      </c>
      <c r="J2" t="s">
        <v>31</v>
      </c>
      <c r="K2" t="s">
        <v>32</v>
      </c>
      <c r="L2" t="s">
        <v>33</v>
      </c>
      <c r="M2" t="s">
        <v>34</v>
      </c>
      <c r="N2" t="s">
        <v>35</v>
      </c>
      <c r="O2" t="s">
        <v>36</v>
      </c>
      <c r="P2" t="s">
        <v>37</v>
      </c>
    </row>
    <row r="3" spans="1:16" ht="12.75">
      <c r="A3">
        <v>15.9994</v>
      </c>
      <c r="B3">
        <v>28.086</v>
      </c>
      <c r="C3">
        <v>47.867</v>
      </c>
      <c r="D3">
        <v>26.9815</v>
      </c>
      <c r="E3">
        <v>55.845</v>
      </c>
      <c r="F3">
        <v>54.938</v>
      </c>
      <c r="G3">
        <v>24.305</v>
      </c>
      <c r="H3">
        <v>40.078</v>
      </c>
      <c r="I3">
        <v>22.99</v>
      </c>
      <c r="J3">
        <v>39.098</v>
      </c>
      <c r="K3">
        <v>137.327</v>
      </c>
      <c r="L3">
        <v>51.996</v>
      </c>
      <c r="M3">
        <v>58.693</v>
      </c>
      <c r="N3">
        <v>30.9738</v>
      </c>
      <c r="O3">
        <v>50.9415</v>
      </c>
      <c r="P3">
        <v>65.38</v>
      </c>
    </row>
    <row r="4" spans="2:16" ht="12.7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</row>
    <row r="5" spans="1:16" ht="12.75">
      <c r="A5" t="s">
        <v>15</v>
      </c>
      <c r="B5">
        <f>B3+2*$A3</f>
        <v>60.0848</v>
      </c>
      <c r="C5">
        <f>C3+2*$A3</f>
        <v>79.8658</v>
      </c>
      <c r="D5">
        <f>2*D3+3*$A3</f>
        <v>101.96119999999999</v>
      </c>
      <c r="E5">
        <f>E3+$A3</f>
        <v>71.8444</v>
      </c>
      <c r="F5">
        <f>F3+$A3</f>
        <v>70.9374</v>
      </c>
      <c r="G5">
        <f>G3+$A3</f>
        <v>40.3044</v>
      </c>
      <c r="H5">
        <f>H3+$A3</f>
        <v>56.077400000000004</v>
      </c>
      <c r="I5">
        <f>2*I3+$A3</f>
        <v>61.9794</v>
      </c>
      <c r="J5">
        <f>2*J3+$A3</f>
        <v>94.19539999999999</v>
      </c>
      <c r="K5">
        <f>K3+$A3</f>
        <v>153.3264</v>
      </c>
      <c r="L5">
        <f>2*L3+3*$A3</f>
        <v>151.99020000000002</v>
      </c>
      <c r="M5">
        <f>M3+$A3</f>
        <v>74.69239999999999</v>
      </c>
      <c r="N5">
        <f>2*N3+5*$A3</f>
        <v>141.9446</v>
      </c>
      <c r="O5">
        <f>2*O3+3*$A3</f>
        <v>149.88119999999998</v>
      </c>
      <c r="P5">
        <f>P3+$A3</f>
        <v>81.37939999999999</v>
      </c>
    </row>
    <row r="6" spans="1:16" ht="12.75">
      <c r="A6" t="s">
        <v>16</v>
      </c>
      <c r="B6">
        <f>10000*(B5-2*16)/B5</f>
        <v>4674.193806087396</v>
      </c>
      <c r="C6">
        <f>10000*(C5-2*16)/C5</f>
        <v>5993.27872506129</v>
      </c>
      <c r="D6">
        <f>10000*(D5-3*16)/D5</f>
        <v>5292.326885128852</v>
      </c>
      <c r="E6">
        <f aca="true" t="shared" si="0" ref="E6:K6">10000*(E5-16)/E5</f>
        <v>7772.964907494529</v>
      </c>
      <c r="F6">
        <f t="shared" si="0"/>
        <v>7744.490212497216</v>
      </c>
      <c r="G6">
        <f t="shared" si="0"/>
        <v>6030.210101130398</v>
      </c>
      <c r="H6">
        <f t="shared" si="0"/>
        <v>7146.800671928442</v>
      </c>
      <c r="I6">
        <f t="shared" si="0"/>
        <v>7418.497113557085</v>
      </c>
      <c r="J6">
        <f t="shared" si="0"/>
        <v>8301.403253237419</v>
      </c>
      <c r="K6">
        <f t="shared" si="0"/>
        <v>8956.47455363199</v>
      </c>
      <c r="L6">
        <f>10000*(L5-3*16)/L5</f>
        <v>6841.901648922101</v>
      </c>
      <c r="M6">
        <f>10000*(M5-16)/M5</f>
        <v>7857.881123112927</v>
      </c>
      <c r="N6">
        <f>10000*(N5-5*16)/N5</f>
        <v>4363.998348651517</v>
      </c>
      <c r="O6">
        <f>10000*(O5-3*16)/O5</f>
        <v>6797.463591164202</v>
      </c>
      <c r="P6">
        <f>10000*(P5-16)/P5</f>
        <v>8033.900471126599</v>
      </c>
    </row>
    <row r="7" spans="1:8" ht="12.75">
      <c r="A7" t="s">
        <v>17</v>
      </c>
      <c r="H7" t="s">
        <v>42</v>
      </c>
    </row>
    <row r="8" spans="2:14" ht="12.75">
      <c r="B8" t="s">
        <v>18</v>
      </c>
      <c r="C8" t="s">
        <v>19</v>
      </c>
      <c r="D8" t="s">
        <v>20</v>
      </c>
      <c r="E8" t="s">
        <v>21</v>
      </c>
      <c r="F8" t="s">
        <v>23</v>
      </c>
      <c r="H8" t="s">
        <v>44</v>
      </c>
      <c r="I8" t="s">
        <v>18</v>
      </c>
      <c r="J8" t="s">
        <v>30</v>
      </c>
      <c r="K8" t="s">
        <v>19</v>
      </c>
      <c r="L8" t="s">
        <v>20</v>
      </c>
      <c r="M8" t="s">
        <v>21</v>
      </c>
      <c r="N8" t="s">
        <v>23</v>
      </c>
    </row>
    <row r="9" spans="1:14" ht="12.75">
      <c r="A9" t="s">
        <v>22</v>
      </c>
      <c r="B9">
        <v>1</v>
      </c>
      <c r="C9">
        <v>1</v>
      </c>
      <c r="D9">
        <v>3</v>
      </c>
      <c r="E9">
        <v>8</v>
      </c>
      <c r="F9">
        <f>SUM(B9:E9)</f>
        <v>13</v>
      </c>
      <c r="I9">
        <v>0.5</v>
      </c>
      <c r="J9">
        <v>0.5</v>
      </c>
      <c r="K9">
        <v>1.5</v>
      </c>
      <c r="L9">
        <v>2.5</v>
      </c>
      <c r="M9">
        <v>8</v>
      </c>
      <c r="N9">
        <f>SUM(I9:M9)</f>
        <v>13</v>
      </c>
    </row>
    <row r="10" spans="1:12" ht="12.75">
      <c r="A10" t="s">
        <v>24</v>
      </c>
      <c r="B10" s="2">
        <f>100*B9/$F9</f>
        <v>7.6923076923076925</v>
      </c>
      <c r="C10" s="2">
        <f>100*C9/$F9</f>
        <v>7.6923076923076925</v>
      </c>
      <c r="D10" s="2">
        <f>100*D9/$F9</f>
        <v>23.076923076923077</v>
      </c>
      <c r="E10" s="2">
        <f>100*E9/$F9</f>
        <v>61.53846153846154</v>
      </c>
      <c r="F10">
        <f>SUM(B10:E10)</f>
        <v>100</v>
      </c>
      <c r="I10" t="s">
        <v>7</v>
      </c>
      <c r="J10" t="s">
        <v>6</v>
      </c>
      <c r="K10" t="s">
        <v>2</v>
      </c>
      <c r="L10" t="s">
        <v>0</v>
      </c>
    </row>
    <row r="11" spans="2:14" ht="12.75">
      <c r="B11">
        <f>B9*I3</f>
        <v>22.99</v>
      </c>
      <c r="C11">
        <f>C9*D3</f>
        <v>26.9815</v>
      </c>
      <c r="D11">
        <f>D9*B3</f>
        <v>84.258</v>
      </c>
      <c r="E11">
        <f>E9*A3</f>
        <v>127.9952</v>
      </c>
      <c r="F11">
        <f>SUM(B11:E11)</f>
        <v>262.2247</v>
      </c>
      <c r="I11">
        <v>0.25</v>
      </c>
      <c r="J11">
        <v>0.5</v>
      </c>
      <c r="K11">
        <v>0.75</v>
      </c>
      <c r="L11">
        <v>2.5</v>
      </c>
      <c r="N11">
        <f>SUM(I11:M11)</f>
        <v>4</v>
      </c>
    </row>
    <row r="12" spans="1:14" ht="12.75">
      <c r="A12" t="s">
        <v>25</v>
      </c>
      <c r="B12" s="2">
        <f>100*B11/$F11</f>
        <v>8.767290037894982</v>
      </c>
      <c r="C12" s="2">
        <f>100*C11/$F11</f>
        <v>10.289457858088884</v>
      </c>
      <c r="D12" s="2">
        <f>100*D11/$F11</f>
        <v>32.13198451557004</v>
      </c>
      <c r="E12" s="2">
        <f>100*E11/$F11</f>
        <v>48.8112675884461</v>
      </c>
      <c r="F12">
        <f>SUM(B12:E12)</f>
        <v>100</v>
      </c>
      <c r="H12" t="s">
        <v>43</v>
      </c>
      <c r="I12" s="2">
        <f>I11*I5</f>
        <v>15.49485</v>
      </c>
      <c r="J12" s="2">
        <f>J11*H5</f>
        <v>28.038700000000002</v>
      </c>
      <c r="K12" s="2">
        <f>K11*D5</f>
        <v>76.4709</v>
      </c>
      <c r="L12" s="2">
        <f>L11*B5</f>
        <v>150.212</v>
      </c>
      <c r="N12">
        <f>SUM(I12:M12)</f>
        <v>270.21645</v>
      </c>
    </row>
    <row r="13" spans="2:12" ht="12.75">
      <c r="B13" t="s">
        <v>7</v>
      </c>
      <c r="C13" t="s">
        <v>2</v>
      </c>
      <c r="D13" t="s">
        <v>0</v>
      </c>
      <c r="H13" t="s">
        <v>39</v>
      </c>
      <c r="I13" s="2">
        <f>100*I12/$N12</f>
        <v>5.734236387162957</v>
      </c>
      <c r="J13" s="2">
        <f>100*J12/$N12</f>
        <v>10.376385301487012</v>
      </c>
      <c r="K13" s="2">
        <f>100*K12/$N12</f>
        <v>28.299868494312616</v>
      </c>
      <c r="L13" s="2">
        <f>100*L12/$N12</f>
        <v>55.58950981703741</v>
      </c>
    </row>
    <row r="14" spans="2:6" ht="12.75">
      <c r="B14">
        <v>0.5</v>
      </c>
      <c r="C14">
        <v>0.5</v>
      </c>
      <c r="D14">
        <v>3</v>
      </c>
      <c r="F14">
        <f>SUM(B14:E14)</f>
        <v>4</v>
      </c>
    </row>
    <row r="15" spans="1:6" ht="12.75">
      <c r="A15" t="s">
        <v>38</v>
      </c>
      <c r="B15" s="2">
        <f>100*B14/$F14</f>
        <v>12.5</v>
      </c>
      <c r="C15" s="2">
        <f>100*C14/$F14</f>
        <v>12.5</v>
      </c>
      <c r="D15" s="2">
        <f>100*D14/$F14</f>
        <v>75</v>
      </c>
      <c r="F15">
        <f>SUM(B15:E15)</f>
        <v>100</v>
      </c>
    </row>
    <row r="16" spans="2:12" ht="12.75">
      <c r="B16">
        <f>B14*I5</f>
        <v>30.9897</v>
      </c>
      <c r="C16">
        <f>C14*D5</f>
        <v>50.980599999999995</v>
      </c>
      <c r="D16">
        <f>D14*B5</f>
        <v>180.2544</v>
      </c>
      <c r="F16">
        <f>SUM(B16:E16)</f>
        <v>262.2247</v>
      </c>
      <c r="H16" t="s">
        <v>45</v>
      </c>
      <c r="I16" t="s">
        <v>7</v>
      </c>
      <c r="J16" t="s">
        <v>6</v>
      </c>
      <c r="K16" t="s">
        <v>2</v>
      </c>
      <c r="L16" t="s">
        <v>0</v>
      </c>
    </row>
    <row r="17" spans="1:14" ht="12.75">
      <c r="A17" t="s">
        <v>39</v>
      </c>
      <c r="B17" s="2">
        <f>100*B16/$F16</f>
        <v>11.817994262172862</v>
      </c>
      <c r="C17" s="2">
        <f>100*C16/$F16</f>
        <v>19.441570530922526</v>
      </c>
      <c r="D17" s="2">
        <f>100*D16/$F16</f>
        <v>68.7404352069046</v>
      </c>
      <c r="E17" s="2"/>
      <c r="F17">
        <f>SUM(B17:E17)</f>
        <v>100</v>
      </c>
      <c r="H17" s="3">
        <v>0.4852123177548961</v>
      </c>
      <c r="I17" s="2">
        <v>11.817994262172862</v>
      </c>
      <c r="J17" s="2">
        <v>0</v>
      </c>
      <c r="K17" s="2">
        <v>19.441570530922526</v>
      </c>
      <c r="L17" s="2">
        <v>68.7404352069046</v>
      </c>
      <c r="N17">
        <f>SUM(I17:M17)</f>
        <v>100</v>
      </c>
    </row>
    <row r="18" spans="8:14" ht="12.75">
      <c r="H18" s="3">
        <v>0.5147876822451039</v>
      </c>
      <c r="I18">
        <v>0</v>
      </c>
      <c r="J18" s="2">
        <v>20.15663089729203</v>
      </c>
      <c r="K18" s="2">
        <v>36.64924326457667</v>
      </c>
      <c r="L18" s="2">
        <v>43.1941258381313</v>
      </c>
      <c r="N18">
        <f>SUM(I18:M18)</f>
        <v>100</v>
      </c>
    </row>
    <row r="19" spans="1:12" ht="12.75">
      <c r="A19" t="s">
        <v>40</v>
      </c>
      <c r="I19" s="2">
        <f>$H17*I17+$H18*I18</f>
        <v>5.734236387162958</v>
      </c>
      <c r="J19" s="2">
        <f>$H17*J17+$H18*J18</f>
        <v>10.376385301487012</v>
      </c>
      <c r="K19" s="2">
        <f>$H17*K17+$H18*K18</f>
        <v>28.299868494312612</v>
      </c>
      <c r="L19" s="2">
        <f>$H17*L17+$H18*L18</f>
        <v>55.58950981703741</v>
      </c>
    </row>
    <row r="20" spans="2:8" ht="12.75">
      <c r="B20" t="s">
        <v>31</v>
      </c>
      <c r="C20" t="s">
        <v>19</v>
      </c>
      <c r="D20" t="s">
        <v>20</v>
      </c>
      <c r="E20" t="s">
        <v>21</v>
      </c>
      <c r="F20" t="s">
        <v>23</v>
      </c>
      <c r="H20" s="2">
        <f>0.5*262.2247</f>
        <v>131.11235</v>
      </c>
    </row>
    <row r="21" spans="1:8" ht="12.75">
      <c r="A21" t="s">
        <v>22</v>
      </c>
      <c r="B21">
        <v>1</v>
      </c>
      <c r="C21">
        <v>1</v>
      </c>
      <c r="D21">
        <v>3</v>
      </c>
      <c r="E21">
        <v>8</v>
      </c>
      <c r="F21">
        <f>SUM(B21:E21)</f>
        <v>13</v>
      </c>
      <c r="H21" s="2">
        <f>0.5*278.2082</f>
        <v>139.1041</v>
      </c>
    </row>
    <row r="22" spans="1:8" ht="12.75">
      <c r="A22" t="s">
        <v>24</v>
      </c>
      <c r="B22" s="2">
        <f>100*B21/$F21</f>
        <v>7.6923076923076925</v>
      </c>
      <c r="C22" s="2">
        <f>100*C21/$F21</f>
        <v>7.6923076923076925</v>
      </c>
      <c r="D22" s="2">
        <f>100*D21/$F21</f>
        <v>23.076923076923077</v>
      </c>
      <c r="E22" s="2">
        <f>100*E21/$F21</f>
        <v>61.53846153846154</v>
      </c>
      <c r="F22">
        <f>SUM(B22:E22)</f>
        <v>100</v>
      </c>
      <c r="H22" s="2">
        <f>H20/(H20+H21)</f>
        <v>0.4852123177548961</v>
      </c>
    </row>
    <row r="23" spans="2:8" ht="12.75">
      <c r="B23">
        <f>B21*J3</f>
        <v>39.098</v>
      </c>
      <c r="C23">
        <f>C21*D3</f>
        <v>26.9815</v>
      </c>
      <c r="D23">
        <f>D21*B3</f>
        <v>84.258</v>
      </c>
      <c r="E23">
        <f>E21*A3</f>
        <v>127.9952</v>
      </c>
      <c r="F23">
        <f>SUM(B23:E23)</f>
        <v>278.3327</v>
      </c>
      <c r="H23" s="2">
        <f>H21/(H20+H21)</f>
        <v>0.5147876822451039</v>
      </c>
    </row>
    <row r="24" spans="1:6" ht="12.75">
      <c r="A24" t="s">
        <v>25</v>
      </c>
      <c r="B24" s="2">
        <f>100*B23/$F23</f>
        <v>14.047217592471169</v>
      </c>
      <c r="C24" s="2">
        <f>100*C23/$F23</f>
        <v>9.693974153953166</v>
      </c>
      <c r="D24" s="2">
        <f>100*D23/$F23</f>
        <v>30.27240421265629</v>
      </c>
      <c r="E24" s="2">
        <f>100*E23/$F23</f>
        <v>45.986404040919375</v>
      </c>
      <c r="F24">
        <f>SUM(B24:E24)</f>
        <v>100</v>
      </c>
    </row>
    <row r="25" spans="2:8" ht="12.75">
      <c r="B25" t="s">
        <v>8</v>
      </c>
      <c r="C25" t="s">
        <v>2</v>
      </c>
      <c r="D25" t="s">
        <v>0</v>
      </c>
      <c r="H25" t="s">
        <v>46</v>
      </c>
    </row>
    <row r="26" spans="2:8" ht="12.75">
      <c r="B26">
        <v>0.5</v>
      </c>
      <c r="C26">
        <v>0.5</v>
      </c>
      <c r="D26">
        <v>3</v>
      </c>
      <c r="F26">
        <f>SUM(B26:E26)</f>
        <v>4</v>
      </c>
      <c r="H26" t="s">
        <v>50</v>
      </c>
    </row>
    <row r="27" spans="1:14" ht="12.75">
      <c r="A27" t="s">
        <v>38</v>
      </c>
      <c r="B27" s="2">
        <f>100*B26/$F26</f>
        <v>12.5</v>
      </c>
      <c r="C27" s="2">
        <f>100*C26/$F26</f>
        <v>12.5</v>
      </c>
      <c r="D27" s="2">
        <f>100*D26/$F26</f>
        <v>75</v>
      </c>
      <c r="F27">
        <f>SUM(B27:E27)</f>
        <v>100</v>
      </c>
      <c r="I27" t="s">
        <v>7</v>
      </c>
      <c r="J27" t="s">
        <v>6</v>
      </c>
      <c r="K27" t="s">
        <v>5</v>
      </c>
      <c r="L27" t="s">
        <v>3</v>
      </c>
      <c r="M27" t="s">
        <v>2</v>
      </c>
      <c r="N27" t="s">
        <v>0</v>
      </c>
    </row>
    <row r="28" spans="2:14" ht="12.75">
      <c r="B28">
        <f>B26*J5</f>
        <v>47.097699999999996</v>
      </c>
      <c r="C28">
        <f>C26*D5</f>
        <v>50.980599999999995</v>
      </c>
      <c r="D28">
        <f>D26*B5</f>
        <v>180.2544</v>
      </c>
      <c r="F28">
        <f>SUM(B28:E28)</f>
        <v>278.3327</v>
      </c>
      <c r="H28" t="s">
        <v>22</v>
      </c>
      <c r="I28">
        <v>0</v>
      </c>
      <c r="J28">
        <v>1</v>
      </c>
      <c r="K28">
        <v>0.7</v>
      </c>
      <c r="L28">
        <v>0.3</v>
      </c>
      <c r="M28">
        <v>0</v>
      </c>
      <c r="N28">
        <v>2</v>
      </c>
    </row>
    <row r="29" spans="1:15" ht="12.75">
      <c r="A29" t="s">
        <v>39</v>
      </c>
      <c r="B29" s="2">
        <f>100*B28/$F28</f>
        <v>16.921367845028627</v>
      </c>
      <c r="C29" s="2">
        <f>100*C28/$F28</f>
        <v>18.316424911625546</v>
      </c>
      <c r="D29" s="2">
        <f>100*D28/$F28</f>
        <v>64.76220724334583</v>
      </c>
      <c r="E29" s="2"/>
      <c r="F29">
        <f>SUM(B29:E29)</f>
        <v>100</v>
      </c>
      <c r="I29">
        <v>0</v>
      </c>
      <c r="J29">
        <f>J28*H5</f>
        <v>56.077400000000004</v>
      </c>
      <c r="K29">
        <f>K28*G5</f>
        <v>28.213079999999998</v>
      </c>
      <c r="L29">
        <f>L28*E5</f>
        <v>21.553319999999996</v>
      </c>
      <c r="M29">
        <v>0</v>
      </c>
      <c r="N29">
        <f>N28*B5</f>
        <v>120.1696</v>
      </c>
      <c r="O29">
        <f>SUM(I29:N29)</f>
        <v>226.0134</v>
      </c>
    </row>
    <row r="30" spans="8:15" ht="12.75">
      <c r="H30" t="s">
        <v>47</v>
      </c>
      <c r="I30">
        <v>0</v>
      </c>
      <c r="J30" s="2">
        <f>100*J29/$O29</f>
        <v>24.81153772298457</v>
      </c>
      <c r="K30" s="2">
        <f>100*K29/$O29</f>
        <v>12.482923578867448</v>
      </c>
      <c r="L30" s="2">
        <f>100*L29/$O29</f>
        <v>9.5363018298915</v>
      </c>
      <c r="M30" s="2">
        <v>0</v>
      </c>
      <c r="N30" s="2">
        <f>100*N29/$O29</f>
        <v>53.16923686825649</v>
      </c>
      <c r="O30">
        <f>SUM(I30:N30)</f>
        <v>100</v>
      </c>
    </row>
    <row r="31" spans="1:8" ht="12.75">
      <c r="A31" t="s">
        <v>41</v>
      </c>
      <c r="H31" t="s">
        <v>49</v>
      </c>
    </row>
    <row r="32" spans="2:15" ht="12.75">
      <c r="B32" t="s">
        <v>30</v>
      </c>
      <c r="C32" t="s">
        <v>19</v>
      </c>
      <c r="D32" t="s">
        <v>20</v>
      </c>
      <c r="E32" t="s">
        <v>21</v>
      </c>
      <c r="F32" t="s">
        <v>23</v>
      </c>
      <c r="I32" s="2">
        <v>5.734236387162958</v>
      </c>
      <c r="J32" s="2">
        <v>10.376385301487012</v>
      </c>
      <c r="K32">
        <v>0</v>
      </c>
      <c r="L32">
        <v>0</v>
      </c>
      <c r="M32" s="2">
        <v>28.299868494312612</v>
      </c>
      <c r="N32" s="2">
        <v>55.58950981703741</v>
      </c>
      <c r="O32">
        <f>SUM(I32:N32)</f>
        <v>100</v>
      </c>
    </row>
    <row r="33" spans="1:8" ht="12.75">
      <c r="A33" t="s">
        <v>22</v>
      </c>
      <c r="B33">
        <v>1</v>
      </c>
      <c r="C33">
        <v>2</v>
      </c>
      <c r="D33">
        <v>2</v>
      </c>
      <c r="E33">
        <v>8</v>
      </c>
      <c r="F33">
        <f>SUM(B33:E33)</f>
        <v>13</v>
      </c>
      <c r="H33" t="s">
        <v>48</v>
      </c>
    </row>
    <row r="34" spans="1:15" ht="12.75">
      <c r="A34" t="s">
        <v>24</v>
      </c>
      <c r="B34" s="2">
        <f>100*B33/$F33</f>
        <v>7.6923076923076925</v>
      </c>
      <c r="C34" s="2">
        <f>100*C33/$F33</f>
        <v>15.384615384615385</v>
      </c>
      <c r="D34" s="2">
        <f>100*D33/$F33</f>
        <v>15.384615384615385</v>
      </c>
      <c r="E34" s="2">
        <f>100*E33/$F33</f>
        <v>61.53846153846154</v>
      </c>
      <c r="F34">
        <f>SUM(B34:E34)</f>
        <v>100</v>
      </c>
      <c r="H34">
        <v>0.48</v>
      </c>
      <c r="I34" s="2">
        <f aca="true" t="shared" si="1" ref="I34:N34">$H34*I30+$H35*I32</f>
        <v>2.9818029213247383</v>
      </c>
      <c r="J34" s="2">
        <f t="shared" si="1"/>
        <v>17.305258463805842</v>
      </c>
      <c r="K34" s="2">
        <f t="shared" si="1"/>
        <v>5.991803317856375</v>
      </c>
      <c r="L34" s="2">
        <f t="shared" si="1"/>
        <v>4.5774248783479194</v>
      </c>
      <c r="M34" s="2">
        <f t="shared" si="1"/>
        <v>14.715931617042559</v>
      </c>
      <c r="N34" s="2">
        <f t="shared" si="1"/>
        <v>54.427778801622566</v>
      </c>
      <c r="O34">
        <f>SUM(I34:N34)</f>
        <v>100</v>
      </c>
    </row>
    <row r="35" spans="2:8" ht="12.75">
      <c r="B35">
        <f>B33*H3</f>
        <v>40.078</v>
      </c>
      <c r="C35">
        <f>C33*D3</f>
        <v>53.963</v>
      </c>
      <c r="D35">
        <f>D33*B3</f>
        <v>56.172</v>
      </c>
      <c r="E35">
        <f>E33*A3</f>
        <v>127.9952</v>
      </c>
      <c r="F35">
        <f>SUM(B35:E35)</f>
        <v>278.2082</v>
      </c>
      <c r="H35">
        <v>0.52</v>
      </c>
    </row>
    <row r="36" spans="1:8" ht="12.75">
      <c r="A36" t="s">
        <v>25</v>
      </c>
      <c r="B36" s="2">
        <f>100*B35/$F35</f>
        <v>14.405757989879524</v>
      </c>
      <c r="C36" s="2">
        <f>100*C35/$F35</f>
        <v>19.396624542339158</v>
      </c>
      <c r="D36" s="2">
        <f>100*D35/$F35</f>
        <v>20.190634208481274</v>
      </c>
      <c r="E36" s="2">
        <f>100*E35/$F35</f>
        <v>46.00698325930006</v>
      </c>
      <c r="F36">
        <f>SUM(B36:E36)</f>
        <v>100.00000000000001</v>
      </c>
      <c r="H36" t="s">
        <v>53</v>
      </c>
    </row>
    <row r="37" spans="2:19" ht="16.5" thickBot="1">
      <c r="B37" t="s">
        <v>6</v>
      </c>
      <c r="C37" t="s">
        <v>2</v>
      </c>
      <c r="D37" t="s">
        <v>0</v>
      </c>
      <c r="I37" s="4" t="s">
        <v>0</v>
      </c>
      <c r="J37" s="5" t="s">
        <v>1</v>
      </c>
      <c r="K37" s="5" t="s">
        <v>2</v>
      </c>
      <c r="L37" s="5" t="s">
        <v>3</v>
      </c>
      <c r="M37" s="5" t="s">
        <v>4</v>
      </c>
      <c r="N37" s="5" t="s">
        <v>5</v>
      </c>
      <c r="O37" s="5" t="s">
        <v>6</v>
      </c>
      <c r="P37" s="5" t="s">
        <v>7</v>
      </c>
      <c r="Q37" s="5" t="s">
        <v>8</v>
      </c>
      <c r="R37" s="5" t="s">
        <v>10</v>
      </c>
      <c r="S37" s="5" t="s">
        <v>11</v>
      </c>
    </row>
    <row r="38" spans="2:20" ht="15.75">
      <c r="B38">
        <v>1</v>
      </c>
      <c r="C38">
        <v>1</v>
      </c>
      <c r="D38">
        <v>2</v>
      </c>
      <c r="F38">
        <f>SUM(B38:E38)</f>
        <v>4</v>
      </c>
      <c r="H38" t="s">
        <v>51</v>
      </c>
      <c r="I38" s="6">
        <v>51.27927015500608</v>
      </c>
      <c r="J38" s="7">
        <v>0.7311035291047479</v>
      </c>
      <c r="K38" s="7">
        <v>3.6445974177567932</v>
      </c>
      <c r="L38" s="7">
        <v>8.094900656110676</v>
      </c>
      <c r="M38" s="7">
        <v>0.219461146560381</v>
      </c>
      <c r="N38" s="7">
        <v>15.407777236108164</v>
      </c>
      <c r="O38" s="7">
        <v>19.542799810810195</v>
      </c>
      <c r="P38" s="7">
        <v>0.3492149179165212</v>
      </c>
      <c r="Q38" s="7">
        <v>0</v>
      </c>
      <c r="R38" s="7">
        <v>0.5461702742452921</v>
      </c>
      <c r="S38" s="7">
        <v>0.18470485638113515</v>
      </c>
      <c r="T38">
        <f>100*(N38/G5)/(N38/G5+L38/E5)</f>
        <v>77.235908201306</v>
      </c>
    </row>
    <row r="39" spans="1:20" ht="15.75">
      <c r="A39" t="s">
        <v>38</v>
      </c>
      <c r="B39" s="2">
        <f>100*B38/$F38</f>
        <v>25</v>
      </c>
      <c r="C39" s="2">
        <f>100*C38/$F38</f>
        <v>25</v>
      </c>
      <c r="D39" s="2">
        <f>100*D38/$F38</f>
        <v>50</v>
      </c>
      <c r="F39">
        <f>SUM(B39:E39)</f>
        <v>100</v>
      </c>
      <c r="H39" t="s">
        <v>52</v>
      </c>
      <c r="I39" s="6">
        <v>52.42168082393726</v>
      </c>
      <c r="J39" s="7">
        <v>0.12608597851323977</v>
      </c>
      <c r="K39" s="7">
        <v>29.460467758182602</v>
      </c>
      <c r="L39" s="7">
        <v>0.5534175931409355</v>
      </c>
      <c r="M39" s="7">
        <v>0.06597751140570966</v>
      </c>
      <c r="N39" s="7">
        <v>0.07711687870453635</v>
      </c>
      <c r="O39" s="7">
        <v>13.336167123250087</v>
      </c>
      <c r="P39" s="7">
        <v>3.7916570731754375</v>
      </c>
      <c r="Q39" s="7">
        <v>0.13197865654684823</v>
      </c>
      <c r="R39" s="7">
        <v>0.027572691333729412</v>
      </c>
      <c r="S39" s="7">
        <v>0.007877911809636975</v>
      </c>
      <c r="T39">
        <f>100*(O39/H5)/(O39/H5+P39/I5)</f>
        <v>79.53930744469915</v>
      </c>
    </row>
    <row r="40" spans="2:20" ht="12.75">
      <c r="B40">
        <f>B38*H5</f>
        <v>56.077400000000004</v>
      </c>
      <c r="C40">
        <f>C38*D5</f>
        <v>101.96119999999999</v>
      </c>
      <c r="D40">
        <f>D38*B5</f>
        <v>120.1696</v>
      </c>
      <c r="F40">
        <f>SUM(B40:E40)</f>
        <v>278.20820000000003</v>
      </c>
      <c r="H40">
        <v>0.48</v>
      </c>
      <c r="I40" s="2">
        <f>$H40*I38+$H41*I39</f>
        <v>51.87332370285029</v>
      </c>
      <c r="J40" s="2">
        <f aca="true" t="shared" si="2" ref="J40:R40">$H40*J38+$H41*J39</f>
        <v>0.41649440279716365</v>
      </c>
      <c r="K40" s="2">
        <f t="shared" si="2"/>
        <v>17.068849994778212</v>
      </c>
      <c r="L40" s="2">
        <f t="shared" si="2"/>
        <v>4.173329463366411</v>
      </c>
      <c r="M40" s="2">
        <f t="shared" si="2"/>
        <v>0.1396496562799519</v>
      </c>
      <c r="N40" s="2">
        <f t="shared" si="2"/>
        <v>7.435833850258277</v>
      </c>
      <c r="O40" s="2">
        <f t="shared" si="2"/>
        <v>16.31535081327894</v>
      </c>
      <c r="P40" s="2">
        <f t="shared" si="2"/>
        <v>2.139284838651158</v>
      </c>
      <c r="Q40" s="2">
        <f t="shared" si="2"/>
        <v>0.06862890140436108</v>
      </c>
      <c r="R40" s="2">
        <f t="shared" si="2"/>
        <v>0.2764995311312795</v>
      </c>
      <c r="S40" s="2">
        <f>$H40*S38+$H41*S39</f>
        <v>0.09275484520395609</v>
      </c>
      <c r="T40" s="2">
        <f>SUM(I40:S40)</f>
        <v>100.00000000000001</v>
      </c>
    </row>
    <row r="41" spans="1:8" ht="12.75">
      <c r="A41" t="s">
        <v>39</v>
      </c>
      <c r="B41" s="2">
        <f>100*B40/$F40</f>
        <v>20.15663089729203</v>
      </c>
      <c r="C41" s="2">
        <f>100*C40/$F40</f>
        <v>36.64924326457667</v>
      </c>
      <c r="D41" s="2">
        <f>100*D40/$F40</f>
        <v>43.1941258381313</v>
      </c>
      <c r="E41" s="2"/>
      <c r="F41">
        <f>SUM(B41:E41)</f>
        <v>100</v>
      </c>
      <c r="H41">
        <v>0.52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0"/>
  <sheetViews>
    <sheetView workbookViewId="0" topLeftCell="A1">
      <selection activeCell="A1" sqref="A1:IV6"/>
    </sheetView>
  </sheetViews>
  <sheetFormatPr defaultColWidth="9.140625" defaultRowHeight="12.75"/>
  <sheetData>
    <row r="2" spans="1:16" ht="12.75">
      <c r="A2" t="s">
        <v>21</v>
      </c>
      <c r="B2" t="s">
        <v>20</v>
      </c>
      <c r="C2" t="s">
        <v>26</v>
      </c>
      <c r="D2" t="s">
        <v>19</v>
      </c>
      <c r="E2" t="s">
        <v>27</v>
      </c>
      <c r="F2" t="s">
        <v>28</v>
      </c>
      <c r="G2" t="s">
        <v>29</v>
      </c>
      <c r="H2" t="s">
        <v>30</v>
      </c>
      <c r="I2" t="s">
        <v>18</v>
      </c>
      <c r="J2" t="s">
        <v>31</v>
      </c>
      <c r="K2" t="s">
        <v>32</v>
      </c>
      <c r="L2" t="s">
        <v>33</v>
      </c>
      <c r="M2" t="s">
        <v>34</v>
      </c>
      <c r="N2" t="s">
        <v>35</v>
      </c>
      <c r="O2" t="s">
        <v>36</v>
      </c>
      <c r="P2" t="s">
        <v>37</v>
      </c>
    </row>
    <row r="3" spans="1:16" ht="12.75">
      <c r="A3">
        <v>15.9994</v>
      </c>
      <c r="B3">
        <v>28.086</v>
      </c>
      <c r="C3">
        <v>47.867</v>
      </c>
      <c r="D3">
        <v>26.9815</v>
      </c>
      <c r="E3">
        <v>55.845</v>
      </c>
      <c r="F3">
        <v>54.938</v>
      </c>
      <c r="G3">
        <v>24.305</v>
      </c>
      <c r="H3">
        <v>40.078</v>
      </c>
      <c r="I3">
        <v>22.99</v>
      </c>
      <c r="J3">
        <v>39.098</v>
      </c>
      <c r="K3">
        <v>137.327</v>
      </c>
      <c r="L3">
        <v>51.996</v>
      </c>
      <c r="M3">
        <v>58.693</v>
      </c>
      <c r="N3">
        <v>30.9738</v>
      </c>
      <c r="O3">
        <v>50.9415</v>
      </c>
      <c r="P3">
        <v>65.38</v>
      </c>
    </row>
    <row r="4" spans="2:16" ht="12.7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</row>
    <row r="5" spans="1:16" ht="12.75">
      <c r="A5" t="s">
        <v>15</v>
      </c>
      <c r="B5">
        <f>B3+2*$A3</f>
        <v>60.0848</v>
      </c>
      <c r="C5">
        <f>C3+2*$A3</f>
        <v>79.8658</v>
      </c>
      <c r="D5">
        <f>2*D3+3*$A3</f>
        <v>101.96119999999999</v>
      </c>
      <c r="E5">
        <f>E3+$A3</f>
        <v>71.8444</v>
      </c>
      <c r="F5">
        <f>F3+$A3</f>
        <v>70.9374</v>
      </c>
      <c r="G5">
        <f>G3+$A3</f>
        <v>40.3044</v>
      </c>
      <c r="H5">
        <f>H3+$A3</f>
        <v>56.077400000000004</v>
      </c>
      <c r="I5">
        <f>2*I3+$A3</f>
        <v>61.9794</v>
      </c>
      <c r="J5">
        <f>2*J3+$A3</f>
        <v>94.19539999999999</v>
      </c>
      <c r="K5">
        <f>K3+$A3</f>
        <v>153.3264</v>
      </c>
      <c r="L5">
        <f>2*L3+3*$A3</f>
        <v>151.99020000000002</v>
      </c>
      <c r="M5">
        <f>M3+$A3</f>
        <v>74.69239999999999</v>
      </c>
      <c r="N5">
        <f>2*N3+5*$A3</f>
        <v>141.9446</v>
      </c>
      <c r="O5">
        <f>2*O3+3*$A3</f>
        <v>149.88119999999998</v>
      </c>
      <c r="P5">
        <f>P3+$A3</f>
        <v>81.37939999999999</v>
      </c>
    </row>
    <row r="6" spans="1:16" ht="12.75">
      <c r="A6" t="s">
        <v>16</v>
      </c>
      <c r="B6">
        <f>10000*(B5-2*16)/B5</f>
        <v>4674.193806087396</v>
      </c>
      <c r="C6">
        <f>10000*(C5-2*16)/C5</f>
        <v>5993.27872506129</v>
      </c>
      <c r="D6">
        <f>10000*(D5-3*16)/D5</f>
        <v>5292.326885128852</v>
      </c>
      <c r="E6">
        <f>10000*(E5-16)/E5</f>
        <v>7772.964907494529</v>
      </c>
      <c r="F6">
        <f>10000*(F5-16)/F5</f>
        <v>7744.490212497216</v>
      </c>
      <c r="G6">
        <f>10000*(G5-16)/G5</f>
        <v>6030.210101130398</v>
      </c>
      <c r="H6">
        <f>10000*(H5-16)/H5</f>
        <v>7146.800671928442</v>
      </c>
      <c r="I6">
        <f>10000*(I5-16)/I5</f>
        <v>7418.497113557085</v>
      </c>
      <c r="J6">
        <f>10000*(J5-16)/J5</f>
        <v>8301.403253237419</v>
      </c>
      <c r="K6">
        <f>10000*(K5-16)/K5</f>
        <v>8956.47455363199</v>
      </c>
      <c r="L6">
        <f>10000*(L5-3*16)/L5</f>
        <v>6841.901648922101</v>
      </c>
      <c r="M6">
        <f>10000*(M5-16)/M5</f>
        <v>7857.881123112927</v>
      </c>
      <c r="N6">
        <f>10000*(N5-5*16)/N5</f>
        <v>4363.998348651517</v>
      </c>
      <c r="O6">
        <f>10000*(O5-3*16)/O5</f>
        <v>6797.463591164202</v>
      </c>
      <c r="P6">
        <f>10000*(P5-16)/P5</f>
        <v>8033.900471126599</v>
      </c>
    </row>
    <row r="20" spans="3:13" ht="16.5" thickBot="1">
      <c r="C20" s="4" t="s">
        <v>0</v>
      </c>
      <c r="D20" s="5" t="s">
        <v>1</v>
      </c>
      <c r="E20" s="5" t="s">
        <v>2</v>
      </c>
      <c r="F20" s="5" t="s">
        <v>3</v>
      </c>
      <c r="G20" s="5" t="s">
        <v>4</v>
      </c>
      <c r="H20" s="5" t="s">
        <v>5</v>
      </c>
      <c r="I20" s="5" t="s">
        <v>6</v>
      </c>
      <c r="J20" s="5" t="s">
        <v>7</v>
      </c>
      <c r="K20" s="5" t="s">
        <v>8</v>
      </c>
      <c r="L20" s="5" t="s">
        <v>10</v>
      </c>
      <c r="M20" s="5" t="s">
        <v>11</v>
      </c>
    </row>
    <row r="21" spans="1:13" ht="12.75">
      <c r="A21" t="s">
        <v>54</v>
      </c>
      <c r="C21" s="2">
        <v>51.87332370285029</v>
      </c>
      <c r="D21" s="2">
        <v>0.41649440279716365</v>
      </c>
      <c r="E21" s="2">
        <v>17.068849994778212</v>
      </c>
      <c r="F21" s="2">
        <v>4.173329463366411</v>
      </c>
      <c r="G21" s="2">
        <v>0.1396496562799519</v>
      </c>
      <c r="H21" s="2">
        <v>7.435833850258277</v>
      </c>
      <c r="I21" s="2">
        <v>16.31535081327894</v>
      </c>
      <c r="J21" s="2">
        <v>2.139284838651158</v>
      </c>
      <c r="K21" s="2">
        <v>0.06862890140436108</v>
      </c>
      <c r="L21" s="2">
        <v>0.2764995311312795</v>
      </c>
      <c r="M21" s="2">
        <v>0.09275484520395609</v>
      </c>
    </row>
    <row r="22" spans="1:15" ht="12.75">
      <c r="A22" t="s">
        <v>55</v>
      </c>
      <c r="C22" s="8">
        <f>1000*C21/B5</f>
        <v>863.3352146108548</v>
      </c>
      <c r="D22" s="8">
        <f>1000*D21/C5</f>
        <v>5.2149280768134005</v>
      </c>
      <c r="E22" s="8">
        <f>2000*E21/D5</f>
        <v>334.8106925924413</v>
      </c>
      <c r="F22" s="8">
        <f>1000*F21/E5</f>
        <v>58.08844479690013</v>
      </c>
      <c r="G22" s="8">
        <f>1000*G21/F5</f>
        <v>1.9686322910051948</v>
      </c>
      <c r="H22" s="8">
        <f>1000*H21/G5</f>
        <v>184.4918631776748</v>
      </c>
      <c r="I22" s="8">
        <f>1000*I21/H5</f>
        <v>290.9434248606201</v>
      </c>
      <c r="J22" s="8">
        <f>2000*J21/I5</f>
        <v>69.03212482376912</v>
      </c>
      <c r="K22" s="8">
        <f>2000*K21/J5</f>
        <v>1.4571603582417205</v>
      </c>
      <c r="L22" s="8">
        <f>1000*L21/L5</f>
        <v>1.819193152790637</v>
      </c>
      <c r="M22" s="8">
        <f>1000*M21/M5</f>
        <v>1.2418244052133296</v>
      </c>
      <c r="N22" s="8">
        <f>SUM(C22:M22)</f>
        <v>1812.4035031463245</v>
      </c>
      <c r="O22" t="s">
        <v>62</v>
      </c>
    </row>
    <row r="23" spans="1:15" ht="12.75">
      <c r="A23" t="s">
        <v>56</v>
      </c>
      <c r="C23">
        <f>2*H23</f>
        <v>368.9837263553496</v>
      </c>
      <c r="H23" s="8">
        <f>H22</f>
        <v>184.4918631776748</v>
      </c>
      <c r="I23" s="8">
        <f>H23</f>
        <v>184.4918631776748</v>
      </c>
      <c r="N23" s="8">
        <f aca="true" t="shared" si="0" ref="N23:N30">SUM(C23:M23)</f>
        <v>737.9674527106991</v>
      </c>
      <c r="O23" s="2">
        <f>100*N23/(N23+N25)</f>
        <v>76.05393229074949</v>
      </c>
    </row>
    <row r="24" spans="1:15" ht="12.75">
      <c r="A24" t="s">
        <v>57</v>
      </c>
      <c r="C24" s="8">
        <f>C22-C23</f>
        <v>494.3514882555052</v>
      </c>
      <c r="D24" s="8">
        <f aca="true" t="shared" si="1" ref="D24:M24">D22-D23</f>
        <v>5.2149280768134005</v>
      </c>
      <c r="E24" s="8">
        <f t="shared" si="1"/>
        <v>334.8106925924413</v>
      </c>
      <c r="F24" s="8">
        <f t="shared" si="1"/>
        <v>58.08844479690013</v>
      </c>
      <c r="G24" s="8">
        <f t="shared" si="1"/>
        <v>1.9686322910051948</v>
      </c>
      <c r="H24" s="8">
        <f t="shared" si="1"/>
        <v>0</v>
      </c>
      <c r="I24" s="8">
        <f t="shared" si="1"/>
        <v>106.45156168294531</v>
      </c>
      <c r="J24" s="8">
        <f t="shared" si="1"/>
        <v>69.03212482376912</v>
      </c>
      <c r="K24" s="8">
        <f t="shared" si="1"/>
        <v>1.4571603582417205</v>
      </c>
      <c r="L24" s="8">
        <f t="shared" si="1"/>
        <v>1.819193152790637</v>
      </c>
      <c r="M24" s="8">
        <f t="shared" si="1"/>
        <v>1.2418244052133296</v>
      </c>
      <c r="N24" s="8">
        <f t="shared" si="0"/>
        <v>1074.4360504356252</v>
      </c>
      <c r="O24" s="2">
        <f>100*H23/(H23+F25)</f>
        <v>76.05393229074949</v>
      </c>
    </row>
    <row r="25" spans="1:14" ht="12.75">
      <c r="A25" t="s">
        <v>58</v>
      </c>
      <c r="C25">
        <f>2*F25</f>
        <v>116.17688959380025</v>
      </c>
      <c r="F25" s="8">
        <f>F24</f>
        <v>58.08844479690013</v>
      </c>
      <c r="I25" s="8">
        <f>F25</f>
        <v>58.08844479690013</v>
      </c>
      <c r="N25" s="8">
        <f t="shared" si="0"/>
        <v>232.3537791876005</v>
      </c>
    </row>
    <row r="26" spans="1:15" ht="12.75">
      <c r="A26" t="s">
        <v>57</v>
      </c>
      <c r="C26" s="8">
        <f>C24-C25</f>
        <v>378.174598661705</v>
      </c>
      <c r="D26" s="8">
        <f aca="true" t="shared" si="2" ref="D26:M26">D24-D25</f>
        <v>5.2149280768134005</v>
      </c>
      <c r="E26" s="8">
        <f t="shared" si="2"/>
        <v>334.8106925924413</v>
      </c>
      <c r="F26" s="8">
        <f t="shared" si="2"/>
        <v>0</v>
      </c>
      <c r="G26" s="8">
        <f t="shared" si="2"/>
        <v>1.9686322910051948</v>
      </c>
      <c r="H26" s="8">
        <f t="shared" si="2"/>
        <v>0</v>
      </c>
      <c r="I26" s="8">
        <f t="shared" si="2"/>
        <v>48.363116886045184</v>
      </c>
      <c r="J26" s="8">
        <f t="shared" si="2"/>
        <v>69.03212482376912</v>
      </c>
      <c r="K26" s="8">
        <f t="shared" si="2"/>
        <v>1.4571603582417205</v>
      </c>
      <c r="L26" s="8">
        <f t="shared" si="2"/>
        <v>1.819193152790637</v>
      </c>
      <c r="M26" s="8">
        <f t="shared" si="2"/>
        <v>1.2418244052133296</v>
      </c>
      <c r="N26" s="8">
        <f t="shared" si="0"/>
        <v>842.0822712480249</v>
      </c>
      <c r="O26" t="s">
        <v>61</v>
      </c>
    </row>
    <row r="27" spans="1:15" ht="12.75">
      <c r="A27" t="s">
        <v>59</v>
      </c>
      <c r="C27">
        <f>2*I27</f>
        <v>96.72623377209037</v>
      </c>
      <c r="E27">
        <f>2*I27</f>
        <v>96.72623377209037</v>
      </c>
      <c r="I27" s="8">
        <f>I26</f>
        <v>48.363116886045184</v>
      </c>
      <c r="N27" s="8">
        <f t="shared" si="0"/>
        <v>241.81558443022593</v>
      </c>
      <c r="O27" s="8">
        <f>100*N27/(N27+N29)</f>
        <v>41.19682891883514</v>
      </c>
    </row>
    <row r="28" spans="1:15" ht="12.75">
      <c r="A28" t="s">
        <v>57</v>
      </c>
      <c r="C28" s="8">
        <f>C26-C27</f>
        <v>281.4483648896146</v>
      </c>
      <c r="D28" s="8">
        <f aca="true" t="shared" si="3" ref="D28:M28">D26-D27</f>
        <v>5.2149280768134005</v>
      </c>
      <c r="E28" s="8">
        <f t="shared" si="3"/>
        <v>238.0844588203509</v>
      </c>
      <c r="F28" s="8">
        <f t="shared" si="3"/>
        <v>0</v>
      </c>
      <c r="G28" s="8">
        <f t="shared" si="3"/>
        <v>1.9686322910051948</v>
      </c>
      <c r="H28" s="8">
        <f t="shared" si="3"/>
        <v>0</v>
      </c>
      <c r="I28" s="8">
        <f t="shared" si="3"/>
        <v>0</v>
      </c>
      <c r="J28" s="8">
        <f t="shared" si="3"/>
        <v>69.03212482376912</v>
      </c>
      <c r="K28" s="8">
        <f t="shared" si="3"/>
        <v>1.4571603582417205</v>
      </c>
      <c r="L28" s="8">
        <f t="shared" si="3"/>
        <v>1.819193152790637</v>
      </c>
      <c r="M28" s="8">
        <f t="shared" si="3"/>
        <v>1.2418244052133296</v>
      </c>
      <c r="N28" s="8">
        <f t="shared" si="0"/>
        <v>600.2666868177989</v>
      </c>
      <c r="O28" s="8">
        <f>100*I27/(I27+J29)</f>
        <v>41.19682891883513</v>
      </c>
    </row>
    <row r="29" spans="1:14" ht="12.75">
      <c r="A29" t="s">
        <v>60</v>
      </c>
      <c r="C29">
        <f>3*J29</f>
        <v>207.09637447130737</v>
      </c>
      <c r="E29" s="8">
        <f>J29</f>
        <v>69.03212482376912</v>
      </c>
      <c r="J29" s="8">
        <f>J28</f>
        <v>69.03212482376912</v>
      </c>
      <c r="N29" s="8">
        <f t="shared" si="0"/>
        <v>345.1606241188456</v>
      </c>
    </row>
    <row r="30" spans="1:14" ht="12.75">
      <c r="A30" t="s">
        <v>57</v>
      </c>
      <c r="C30" s="8">
        <f>C28-C29</f>
        <v>74.35199041830722</v>
      </c>
      <c r="D30" s="8">
        <f aca="true" t="shared" si="4" ref="D30:M30">D28-D29</f>
        <v>5.2149280768134005</v>
      </c>
      <c r="E30" s="8">
        <f t="shared" si="4"/>
        <v>169.05233399658178</v>
      </c>
      <c r="F30" s="8">
        <f t="shared" si="4"/>
        <v>0</v>
      </c>
      <c r="G30" s="8">
        <f t="shared" si="4"/>
        <v>1.9686322910051948</v>
      </c>
      <c r="H30" s="8">
        <f t="shared" si="4"/>
        <v>0</v>
      </c>
      <c r="I30" s="8">
        <f t="shared" si="4"/>
        <v>0</v>
      </c>
      <c r="J30" s="8">
        <f t="shared" si="4"/>
        <v>0</v>
      </c>
      <c r="K30" s="8">
        <f t="shared" si="4"/>
        <v>1.4571603582417205</v>
      </c>
      <c r="L30" s="8">
        <f t="shared" si="4"/>
        <v>1.819193152790637</v>
      </c>
      <c r="M30" s="8">
        <f t="shared" si="4"/>
        <v>1.2418244052133296</v>
      </c>
      <c r="N30" s="8">
        <f t="shared" si="0"/>
        <v>255.10606269895328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P67"/>
  <sheetViews>
    <sheetView workbookViewId="0" topLeftCell="A1">
      <selection activeCell="A1" sqref="A1"/>
    </sheetView>
  </sheetViews>
  <sheetFormatPr defaultColWidth="9.140625" defaultRowHeight="12.75"/>
  <sheetData>
    <row r="3" spans="1:16" ht="12.75">
      <c r="A3" t="s">
        <v>21</v>
      </c>
      <c r="B3" t="s">
        <v>20</v>
      </c>
      <c r="C3" t="s">
        <v>26</v>
      </c>
      <c r="D3" t="s">
        <v>19</v>
      </c>
      <c r="E3" t="s">
        <v>27</v>
      </c>
      <c r="F3" t="s">
        <v>28</v>
      </c>
      <c r="G3" t="s">
        <v>29</v>
      </c>
      <c r="H3" t="s">
        <v>30</v>
      </c>
      <c r="I3" t="s">
        <v>18</v>
      </c>
      <c r="J3" t="s">
        <v>31</v>
      </c>
      <c r="K3" t="s">
        <v>32</v>
      </c>
      <c r="L3" t="s">
        <v>33</v>
      </c>
      <c r="M3" t="s">
        <v>34</v>
      </c>
      <c r="N3" t="s">
        <v>35</v>
      </c>
      <c r="O3" t="s">
        <v>36</v>
      </c>
      <c r="P3" t="s">
        <v>37</v>
      </c>
    </row>
    <row r="4" spans="1:16" ht="12.75">
      <c r="A4">
        <v>15.9994</v>
      </c>
      <c r="B4">
        <v>28.086</v>
      </c>
      <c r="C4">
        <v>47.867</v>
      </c>
      <c r="D4">
        <v>26.9815</v>
      </c>
      <c r="E4">
        <v>55.845</v>
      </c>
      <c r="F4">
        <v>54.938</v>
      </c>
      <c r="G4">
        <v>24.305</v>
      </c>
      <c r="H4">
        <v>40.078</v>
      </c>
      <c r="I4">
        <v>22.99</v>
      </c>
      <c r="J4">
        <v>39.098</v>
      </c>
      <c r="K4">
        <v>137.327</v>
      </c>
      <c r="L4">
        <v>51.996</v>
      </c>
      <c r="M4">
        <v>58.693</v>
      </c>
      <c r="N4">
        <v>30.9738</v>
      </c>
      <c r="O4">
        <v>50.9415</v>
      </c>
      <c r="P4">
        <v>65.38</v>
      </c>
    </row>
    <row r="5" spans="2:16" ht="12.7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</row>
    <row r="6" spans="1:16" ht="12.75">
      <c r="A6" t="s">
        <v>15</v>
      </c>
      <c r="B6">
        <f>B4+2*$A4</f>
        <v>60.0848</v>
      </c>
      <c r="C6">
        <f>C4+2*$A4</f>
        <v>79.8658</v>
      </c>
      <c r="D6">
        <f>2*D4+3*$A4</f>
        <v>101.96119999999999</v>
      </c>
      <c r="E6">
        <f>E4+$A4</f>
        <v>71.8444</v>
      </c>
      <c r="F6">
        <f>F4+$A4</f>
        <v>70.9374</v>
      </c>
      <c r="G6">
        <f>G4+$A4</f>
        <v>40.3044</v>
      </c>
      <c r="H6">
        <f>H4+$A4</f>
        <v>56.077400000000004</v>
      </c>
      <c r="I6">
        <f>2*I4+$A4</f>
        <v>61.9794</v>
      </c>
      <c r="J6">
        <f>2*J4+$A4</f>
        <v>94.19539999999999</v>
      </c>
      <c r="K6">
        <f>K4+$A4</f>
        <v>153.3264</v>
      </c>
      <c r="L6">
        <f>2*L4+3*$A4</f>
        <v>151.99020000000002</v>
      </c>
      <c r="M6">
        <f>M4+$A4</f>
        <v>74.69239999999999</v>
      </c>
      <c r="N6">
        <f>2*N4+5*$A4</f>
        <v>141.9446</v>
      </c>
      <c r="O6">
        <f>2*O4+3*$A4</f>
        <v>149.88119999999998</v>
      </c>
      <c r="P6">
        <f>P4+$A4</f>
        <v>81.37939999999999</v>
      </c>
    </row>
    <row r="7" spans="1:16" ht="12.75">
      <c r="A7" t="s">
        <v>16</v>
      </c>
      <c r="B7">
        <f>10000*(B6-2*16)/B6</f>
        <v>4674.193806087396</v>
      </c>
      <c r="C7">
        <f>10000*(C6-2*16)/C6</f>
        <v>5993.27872506129</v>
      </c>
      <c r="D7">
        <f>10000*(D6-3*16)/D6</f>
        <v>5292.326885128852</v>
      </c>
      <c r="E7">
        <f aca="true" t="shared" si="0" ref="E7:K7">10000*(E6-16)/E6</f>
        <v>7772.964907494529</v>
      </c>
      <c r="F7">
        <f t="shared" si="0"/>
        <v>7744.490212497216</v>
      </c>
      <c r="G7">
        <f t="shared" si="0"/>
        <v>6030.210101130398</v>
      </c>
      <c r="H7">
        <f t="shared" si="0"/>
        <v>7146.800671928442</v>
      </c>
      <c r="I7">
        <f t="shared" si="0"/>
        <v>7418.497113557085</v>
      </c>
      <c r="J7">
        <f t="shared" si="0"/>
        <v>8301.403253237419</v>
      </c>
      <c r="K7">
        <f t="shared" si="0"/>
        <v>8956.47455363199</v>
      </c>
      <c r="L7">
        <f>10000*(L6-3*16)/L6</f>
        <v>6841.901648922101</v>
      </c>
      <c r="M7">
        <f>10000*(M6-16)/M6</f>
        <v>7857.881123112927</v>
      </c>
      <c r="N7">
        <f>10000*(N6-5*16)/N6</f>
        <v>4363.998348651517</v>
      </c>
      <c r="O7">
        <f>10000*(O6-3*16)/O6</f>
        <v>6797.463591164202</v>
      </c>
      <c r="P7">
        <f>10000*(P6-16)/P6</f>
        <v>8033.900471126599</v>
      </c>
    </row>
    <row r="9" ht="12.75">
      <c r="A9" t="s">
        <v>69</v>
      </c>
    </row>
    <row r="10" ht="12.75">
      <c r="A10" t="s">
        <v>66</v>
      </c>
    </row>
    <row r="12" ht="12.75">
      <c r="A12" t="s">
        <v>67</v>
      </c>
    </row>
    <row r="23" ht="12.75">
      <c r="A23" t="s">
        <v>68</v>
      </c>
    </row>
    <row r="34" ht="12.75">
      <c r="A34" t="s">
        <v>70</v>
      </c>
    </row>
    <row r="45" ht="12.75">
      <c r="A45" t="s">
        <v>71</v>
      </c>
    </row>
    <row r="56" spans="1:2" ht="12.75">
      <c r="A56" t="s">
        <v>72</v>
      </c>
      <c r="B56" t="s">
        <v>73</v>
      </c>
    </row>
    <row r="67" ht="12.75">
      <c r="A67" t="s">
        <v>74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P35"/>
  <sheetViews>
    <sheetView tabSelected="1" workbookViewId="0" topLeftCell="A9">
      <selection activeCell="C34" sqref="C34"/>
    </sheetView>
  </sheetViews>
  <sheetFormatPr defaultColWidth="9.140625" defaultRowHeight="12.75"/>
  <cols>
    <col min="1" max="1" width="10.7109375" style="0" customWidth="1"/>
    <col min="2" max="2" width="11.00390625" style="0" customWidth="1"/>
  </cols>
  <sheetData>
    <row r="3" spans="1:16" ht="12.75">
      <c r="A3" t="s">
        <v>21</v>
      </c>
      <c r="B3" t="s">
        <v>20</v>
      </c>
      <c r="C3" t="s">
        <v>26</v>
      </c>
      <c r="D3" t="s">
        <v>19</v>
      </c>
      <c r="E3" t="s">
        <v>27</v>
      </c>
      <c r="F3" t="s">
        <v>28</v>
      </c>
      <c r="G3" t="s">
        <v>29</v>
      </c>
      <c r="H3" t="s">
        <v>30</v>
      </c>
      <c r="I3" t="s">
        <v>18</v>
      </c>
      <c r="J3" t="s">
        <v>31</v>
      </c>
      <c r="K3" t="s">
        <v>32</v>
      </c>
      <c r="L3" t="s">
        <v>33</v>
      </c>
      <c r="M3" t="s">
        <v>34</v>
      </c>
      <c r="N3" t="s">
        <v>35</v>
      </c>
      <c r="O3" t="s">
        <v>36</v>
      </c>
      <c r="P3" t="s">
        <v>37</v>
      </c>
    </row>
    <row r="4" spans="1:16" ht="12.75">
      <c r="A4">
        <v>15.9994</v>
      </c>
      <c r="B4">
        <v>28.086</v>
      </c>
      <c r="C4">
        <v>47.867</v>
      </c>
      <c r="D4">
        <v>26.9815</v>
      </c>
      <c r="E4">
        <v>55.845</v>
      </c>
      <c r="F4">
        <v>54.938</v>
      </c>
      <c r="G4">
        <v>24.305</v>
      </c>
      <c r="H4">
        <v>40.078</v>
      </c>
      <c r="I4">
        <v>22.99</v>
      </c>
      <c r="J4">
        <v>39.098</v>
      </c>
      <c r="K4">
        <v>137.327</v>
      </c>
      <c r="L4">
        <v>51.996</v>
      </c>
      <c r="M4">
        <v>58.693</v>
      </c>
      <c r="N4">
        <v>30.9738</v>
      </c>
      <c r="O4">
        <v>50.9415</v>
      </c>
      <c r="P4">
        <v>65.38</v>
      </c>
    </row>
    <row r="5" spans="2:16" ht="12.7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</row>
    <row r="6" spans="1:16" ht="12.75">
      <c r="A6" t="s">
        <v>15</v>
      </c>
      <c r="B6">
        <f>B4+2*$A4</f>
        <v>60.0848</v>
      </c>
      <c r="C6">
        <f>C4+2*$A4</f>
        <v>79.8658</v>
      </c>
      <c r="D6">
        <f>2*D4+3*$A4</f>
        <v>101.96119999999999</v>
      </c>
      <c r="E6">
        <f>E4+$A4</f>
        <v>71.8444</v>
      </c>
      <c r="F6">
        <f>F4+$A4</f>
        <v>70.9374</v>
      </c>
      <c r="G6">
        <f>G4+$A4</f>
        <v>40.3044</v>
      </c>
      <c r="H6">
        <f>H4+$A4</f>
        <v>56.077400000000004</v>
      </c>
      <c r="I6">
        <f>2*I4+$A4</f>
        <v>61.9794</v>
      </c>
      <c r="J6">
        <f>2*J4+$A4</f>
        <v>94.19539999999999</v>
      </c>
      <c r="K6">
        <f>K4+$A4</f>
        <v>153.3264</v>
      </c>
      <c r="L6">
        <f>2*L4+3*$A4</f>
        <v>151.99020000000002</v>
      </c>
      <c r="M6">
        <f>M4+$A4</f>
        <v>74.69239999999999</v>
      </c>
      <c r="N6">
        <f>2*N4+5*$A4</f>
        <v>141.9446</v>
      </c>
      <c r="O6">
        <f>2*O4+3*$A4</f>
        <v>149.88119999999998</v>
      </c>
      <c r="P6">
        <f>P4+$A4</f>
        <v>81.37939999999999</v>
      </c>
    </row>
    <row r="7" spans="1:16" ht="12.75">
      <c r="A7" t="s">
        <v>16</v>
      </c>
      <c r="B7">
        <f>10000*(B6-2*16)/B6</f>
        <v>4674.193806087396</v>
      </c>
      <c r="C7">
        <f>10000*(C6-2*16)/C6</f>
        <v>5993.27872506129</v>
      </c>
      <c r="D7">
        <f>10000*(D6-3*16)/D6</f>
        <v>5292.326885128852</v>
      </c>
      <c r="E7">
        <f>10000*(E6-16)/E6</f>
        <v>7772.964907494529</v>
      </c>
      <c r="F7">
        <f>10000*(F6-16)/F6</f>
        <v>7744.490212497216</v>
      </c>
      <c r="G7">
        <f>10000*(G6-16)/G6</f>
        <v>6030.210101130398</v>
      </c>
      <c r="H7">
        <f>10000*(H6-16)/H6</f>
        <v>7146.800671928442</v>
      </c>
      <c r="I7">
        <f>10000*(I6-16)/I6</f>
        <v>7418.497113557085</v>
      </c>
      <c r="J7">
        <f>10000*(J6-16)/J6</f>
        <v>8301.403253237419</v>
      </c>
      <c r="K7">
        <f>10000*(K6-16)/K6</f>
        <v>8956.47455363199</v>
      </c>
      <c r="L7">
        <f>10000*(L6-3*16)/L6</f>
        <v>6841.901648922101</v>
      </c>
      <c r="M7">
        <f>10000*(M6-16)/M6</f>
        <v>7857.881123112927</v>
      </c>
      <c r="N7">
        <f>10000*(N6-5*16)/N6</f>
        <v>4363.998348651517</v>
      </c>
      <c r="O7">
        <f>10000*(O6-3*16)/O6</f>
        <v>6797.463591164202</v>
      </c>
      <c r="P7">
        <f>10000*(P6-16)/P6</f>
        <v>8033.900471126599</v>
      </c>
    </row>
    <row r="9" ht="12.75">
      <c r="A9" t="s">
        <v>63</v>
      </c>
    </row>
    <row r="10" ht="12.75">
      <c r="A10" t="s">
        <v>64</v>
      </c>
    </row>
    <row r="11" spans="3:8" ht="12.75">
      <c r="C11" t="s">
        <v>7</v>
      </c>
      <c r="D11" t="s">
        <v>6</v>
      </c>
      <c r="E11" t="s">
        <v>5</v>
      </c>
      <c r="F11" t="s">
        <v>3</v>
      </c>
      <c r="G11" t="s">
        <v>2</v>
      </c>
      <c r="H11" t="s">
        <v>0</v>
      </c>
    </row>
    <row r="12" spans="1:9" ht="12.75">
      <c r="A12" t="s">
        <v>65</v>
      </c>
      <c r="C12" s="2">
        <v>2.9818029213247383</v>
      </c>
      <c r="D12" s="2">
        <v>17.305258463805842</v>
      </c>
      <c r="E12" s="2">
        <v>5.991803317856375</v>
      </c>
      <c r="F12" s="2">
        <v>4.5774248783479194</v>
      </c>
      <c r="G12" s="2">
        <v>14.715931617042559</v>
      </c>
      <c r="H12" s="2">
        <v>54.427778801622566</v>
      </c>
      <c r="I12">
        <v>100</v>
      </c>
    </row>
    <row r="27" ht="12.75">
      <c r="A27" t="s">
        <v>79</v>
      </c>
    </row>
    <row r="28" ht="12.75">
      <c r="A28" t="s">
        <v>84</v>
      </c>
    </row>
    <row r="29" spans="2:4" ht="12.75">
      <c r="B29" t="s">
        <v>77</v>
      </c>
      <c r="C29" t="s">
        <v>90</v>
      </c>
      <c r="D29" t="s">
        <v>85</v>
      </c>
    </row>
    <row r="30" spans="1:4" ht="12.75">
      <c r="A30" t="s">
        <v>75</v>
      </c>
      <c r="B30" t="s">
        <v>76</v>
      </c>
      <c r="C30">
        <v>2.66</v>
      </c>
      <c r="D30" t="s">
        <v>0</v>
      </c>
    </row>
    <row r="31" spans="1:4" ht="12.75">
      <c r="A31" t="s">
        <v>78</v>
      </c>
      <c r="B31" t="s">
        <v>76</v>
      </c>
      <c r="C31">
        <v>2.63</v>
      </c>
      <c r="D31" t="s">
        <v>83</v>
      </c>
    </row>
    <row r="32" spans="1:4" ht="12.75">
      <c r="A32" t="s">
        <v>86</v>
      </c>
      <c r="B32" t="s">
        <v>80</v>
      </c>
      <c r="C32">
        <v>2.56</v>
      </c>
      <c r="D32" t="s">
        <v>87</v>
      </c>
    </row>
    <row r="33" spans="1:4" ht="12.75">
      <c r="A33" t="s">
        <v>81</v>
      </c>
      <c r="B33" s="9" t="s">
        <v>82</v>
      </c>
      <c r="C33" s="9">
        <v>3.3</v>
      </c>
      <c r="D33" t="s">
        <v>89</v>
      </c>
    </row>
    <row r="35" ht="12.75">
      <c r="C35" t="s">
        <v>88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</cp:lastModifiedBy>
  <dcterms:created xsi:type="dcterms:W3CDTF">1996-10-14T23:33:28Z</dcterms:created>
  <dcterms:modified xsi:type="dcterms:W3CDTF">2010-02-19T15:11:15Z</dcterms:modified>
  <cp:category/>
  <cp:version/>
  <cp:contentType/>
  <cp:contentStatus/>
</cp:coreProperties>
</file>